
<file path=[Content_Types].xml><?xml version="1.0" encoding="utf-8"?>
<Types xmlns="http://schemas.openxmlformats.org/package/2006/content-types">
  <Default Extension="xml" ContentType="application/xml"/>
  <Default Extension="jpeg" ContentType="image/jpeg"/>
  <Default Extension="tif" ContentType="image/tiff"/>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423"/>
  <workbookPr codeName="ThisWorkbook" checkCompatibility="1" autoCompressPictures="0"/>
  <bookViews>
    <workbookView xWindow="0" yWindow="0" windowWidth="25600" windowHeight="15520" tabRatio="782"/>
  </bookViews>
  <sheets>
    <sheet name="Impact" sheetId="4" r:id="rId1"/>
    <sheet name="data" sheetId="2" r:id="rId2"/>
  </sheets>
  <definedNames>
    <definedName name="OLE_LINK1" localSheetId="1">data!$C$15</definedName>
    <definedName name="_xlnm.Print_Area" localSheetId="0">Impact!$A$1:$I$33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3" i="2" l="1"/>
  <c r="I3" i="2"/>
  <c r="AB3" i="2"/>
  <c r="AC3" i="2"/>
  <c r="AD3" i="2"/>
  <c r="AD6" i="2"/>
  <c r="B10" i="2"/>
  <c r="B14" i="4"/>
  <c r="B29" i="4"/>
  <c r="B28" i="4"/>
  <c r="B27" i="4"/>
  <c r="AK3" i="2"/>
  <c r="AK6" i="2"/>
  <c r="E7" i="2"/>
  <c r="B26" i="4"/>
  <c r="J3" i="2"/>
  <c r="J6" i="2"/>
  <c r="B11" i="2"/>
  <c r="B15" i="4"/>
  <c r="K3" i="2"/>
  <c r="K6" i="2"/>
  <c r="B12" i="2"/>
  <c r="B16" i="4"/>
  <c r="M3" i="2"/>
  <c r="N3" i="2"/>
  <c r="N6" i="2"/>
  <c r="B13" i="2"/>
  <c r="B17" i="4"/>
  <c r="O3" i="2"/>
  <c r="O6" i="2"/>
  <c r="B14" i="2"/>
  <c r="B18" i="4"/>
  <c r="L3" i="2"/>
  <c r="P3" i="2"/>
  <c r="Q3" i="2"/>
  <c r="R3" i="2"/>
  <c r="R6" i="2"/>
  <c r="B15" i="2"/>
  <c r="B19" i="4"/>
  <c r="S3" i="2"/>
  <c r="T3" i="2"/>
  <c r="U3" i="2"/>
  <c r="U6" i="2"/>
  <c r="B16" i="2"/>
  <c r="B20" i="4"/>
  <c r="V3" i="2"/>
  <c r="W3" i="2"/>
  <c r="X3" i="2"/>
  <c r="X6" i="2"/>
  <c r="B17" i="2"/>
  <c r="B21" i="4"/>
  <c r="Y3" i="2"/>
  <c r="Z3" i="2"/>
  <c r="AA3" i="2"/>
  <c r="AA6" i="2"/>
  <c r="B18" i="2"/>
  <c r="B22" i="4"/>
  <c r="AE3" i="2"/>
  <c r="AF3" i="2"/>
  <c r="AG3" i="2"/>
  <c r="AG6" i="2"/>
  <c r="B19" i="2"/>
  <c r="B23" i="4"/>
  <c r="AH3" i="2"/>
  <c r="AI3" i="2"/>
  <c r="AJ3" i="2"/>
  <c r="AJ6" i="2"/>
  <c r="B20" i="2"/>
  <c r="B24" i="4"/>
  <c r="C7" i="2"/>
  <c r="J11" i="2"/>
  <c r="O11" i="2"/>
  <c r="J12" i="2"/>
  <c r="O12" i="2"/>
  <c r="O13" i="2"/>
  <c r="O14" i="2"/>
  <c r="P23" i="2"/>
  <c r="Q11" i="2"/>
  <c r="Q12" i="2"/>
  <c r="Q13" i="2"/>
  <c r="Q14" i="2"/>
  <c r="P24" i="2"/>
  <c r="P25" i="2"/>
  <c r="R14" i="2"/>
  <c r="S14" i="2"/>
  <c r="M18" i="2"/>
  <c r="L20" i="2"/>
  <c r="M16" i="2"/>
  <c r="M17" i="2"/>
  <c r="I6" i="2"/>
  <c r="L6" i="2"/>
  <c r="M6" i="2"/>
  <c r="P6" i="2"/>
  <c r="Q6" i="2"/>
  <c r="S6" i="2"/>
  <c r="T6" i="2"/>
  <c r="V6" i="2"/>
  <c r="W6" i="2"/>
  <c r="Y6" i="2"/>
  <c r="Z6" i="2"/>
  <c r="AB6" i="2"/>
  <c r="AC6" i="2"/>
  <c r="AE6" i="2"/>
  <c r="AF6" i="2"/>
  <c r="AH6" i="2"/>
  <c r="AI6" i="2"/>
  <c r="AL3" i="2"/>
  <c r="AL6" i="2"/>
  <c r="AM3" i="2"/>
  <c r="AM6" i="2"/>
  <c r="AN3" i="2"/>
  <c r="AN6" i="2"/>
  <c r="AO3" i="2"/>
  <c r="AO6" i="2"/>
  <c r="AP3" i="2"/>
  <c r="AP6" i="2"/>
  <c r="AQ3" i="2"/>
  <c r="AQ6" i="2"/>
  <c r="AR6" i="2"/>
</calcChain>
</file>

<file path=xl/sharedStrings.xml><?xml version="1.0" encoding="utf-8"?>
<sst xmlns="http://schemas.openxmlformats.org/spreadsheetml/2006/main" count="135" uniqueCount="97">
  <si>
    <t>Local Implementation Costs</t>
  </si>
  <si>
    <t>Direct Training &amp; Supports Below:</t>
  </si>
  <si>
    <t>Direct Classroom Supplies Cost Below:</t>
  </si>
  <si>
    <t>Total Cost Assumption per child</t>
  </si>
  <si>
    <t>Direct Materials &amp; External Total Sum:</t>
  </si>
  <si>
    <t>Estsimated 1st Grade Classroom Numbers Cong. Dist.</t>
  </si>
  <si>
    <t>Predicted # of Highly Aggressive Boys in Grade 1</t>
  </si>
  <si>
    <t>Service Use Among GBG Males  @ age 21</t>
  </si>
  <si>
    <t>Suicidal Thoughts Among GBG Females  @ age 21</t>
  </si>
  <si>
    <t>Suicidal Thoughts Among GBG Males @ age 21</t>
  </si>
  <si>
    <t>Savings Per Congressional District $4637 per kid  @ age 21</t>
  </si>
  <si>
    <t>Predicted # Aggressive Boys With Violent &amp; Criminal Records w/NO GBG @ 21</t>
  </si>
  <si>
    <t>Predicted # Drug Use W/NO GBG Males @ age 21</t>
  </si>
  <si>
    <t>Predicted # Alcohol w/no GBG Males @ age 21</t>
  </si>
  <si>
    <t>Predicted # Service Use All Males No GBG  @ age 21</t>
  </si>
  <si>
    <t>Predicted # Suicidal Thoughts No GBG Females  @ age 21</t>
  </si>
  <si>
    <t>Predicted # Suicidal Thoughts No GBG Males @ age 21</t>
  </si>
  <si>
    <t>Predicted # Alcohol Among GBG Males @ age 21</t>
  </si>
  <si>
    <t>Predicted # Smoking Among GBG males @ age 21</t>
  </si>
  <si>
    <t>Predicted # Smoking w/NO GBG males  @ age 21</t>
  </si>
  <si>
    <t>Predicted # Aggressive Boys with Violent &amp; Criminal Records Among GBG Exposed @ 21</t>
  </si>
  <si>
    <t>Number of Lives Protected by GBG from Violent Crime and Criminal Records Per 1st Grade Cohort</t>
  </si>
  <si>
    <t>Number of Lives Protected by GBG from Serious Drug Addictions Per 1st Grade Cohort</t>
  </si>
  <si>
    <t>Predicted # Drug Addictions Among  GBG Males @ age 21</t>
  </si>
  <si>
    <t>Number of Lives Protected by GBG from Regular Smoking @ age 21</t>
  </si>
  <si>
    <t>Number of Lives Protected by GBG from Alcohol Addictions @ age 21</t>
  </si>
  <si>
    <t>Number of Lives Protected by GBG from Needing All Service Use @ age 21</t>
  </si>
  <si>
    <t>Number of Female Lives Protected by GBG from Suicidal Thoughts @ age 21</t>
  </si>
  <si>
    <t>Number of Male Lives Protected by GBG from Suicidal Thoughts @ age 21</t>
  </si>
  <si>
    <t>Grade 1 Males</t>
  </si>
  <si>
    <t>Direct Materials &amp; External Training Supports Total Sum:</t>
  </si>
  <si>
    <t>Return on Investment (ROI)</t>
  </si>
  <si>
    <t>30-to-1</t>
  </si>
  <si>
    <t>Net Return for Each Grade 1 Cohort @ age 21</t>
  </si>
  <si>
    <t>Total Cost Assumption for Protecting Each Grade 1 Child per Lifetime with GBG</t>
  </si>
  <si>
    <t>Direct Training &amp; Supports Per Classroom Below:</t>
  </si>
  <si>
    <t>Males in Grade 1</t>
  </si>
  <si>
    <t>Females in Grade 1</t>
  </si>
  <si>
    <t>Additonal No. of Boys Predicted to Graduate from High School with GBG in Grade 1</t>
  </si>
  <si>
    <t>Additonal No. of Boys Predicted to Enter University with GBG in Grade 1</t>
  </si>
  <si>
    <t>Additional No. of Girls Predcted to Graduate from High School with GBG in Grade 1</t>
  </si>
  <si>
    <t>Additional Number of Girls Predicted to Enter University with GBG in Grade 1</t>
  </si>
  <si>
    <t>Numbers</t>
  </si>
  <si>
    <t>Total Students</t>
  </si>
  <si>
    <t>Total Savings</t>
  </si>
  <si>
    <t>Results</t>
  </si>
  <si>
    <t>Savings Per Congressional District $13,020 per kid  @ age 21</t>
  </si>
  <si>
    <t>District Benefits</t>
  </si>
  <si>
    <t>QTY</t>
  </si>
  <si>
    <t>Description</t>
  </si>
  <si>
    <t>Unit Cost</t>
  </si>
  <si>
    <t>Total</t>
  </si>
  <si>
    <t>Teachers kits</t>
  </si>
  <si>
    <t>ROI on PAXIS</t>
  </si>
  <si>
    <t>Estimated training courses</t>
  </si>
  <si>
    <t>Cost per course</t>
  </si>
  <si>
    <t>PAX Partner Training</t>
  </si>
  <si>
    <t>Total $$ to PAX per Teacher</t>
  </si>
  <si>
    <t>Training/Support overhead</t>
  </si>
  <si>
    <t>Direct Cost of PAX GBG</t>
  </si>
  <si>
    <t>Total Direct</t>
  </si>
  <si>
    <t>Unit Indirect</t>
  </si>
  <si>
    <t>Total Indirect</t>
  </si>
  <si>
    <t>Per Child Cost</t>
  </si>
  <si>
    <t>Direct Cost of Materials &amp; Training</t>
  </si>
  <si>
    <t>Indirect Costs of Implementation</t>
  </si>
  <si>
    <t>Total Implmentation</t>
  </si>
  <si>
    <t>Fewer young people will commit and be convicted of serious violent crimes</t>
  </si>
  <si>
    <t>Enter the number of first graders in district or school here&gt;&gt;&gt;&gt;&gt;:</t>
  </si>
  <si>
    <t xml:space="preserve">Fewer young people will need any form of special education services </t>
  </si>
  <si>
    <t>More boys will likely graduate from high school.</t>
  </si>
  <si>
    <t xml:space="preserve">More boys will likely enter university </t>
  </si>
  <si>
    <t xml:space="preserve">More girls will likely graduate from high school </t>
  </si>
  <si>
    <t xml:space="preserve">More girls will likely enter university </t>
  </si>
  <si>
    <t xml:space="preserve">Fewer young people will develop serious drug addictions </t>
  </si>
  <si>
    <t xml:space="preserve">Fewer young people will become regular smokers </t>
  </si>
  <si>
    <t xml:space="preserve">Fewer young people will develop serious alcohol addictions </t>
  </si>
  <si>
    <t>Fewer young women will contemplate suicide</t>
  </si>
  <si>
    <t xml:space="preserve">Fewer young men will contemplate suicide </t>
  </si>
  <si>
    <t>Predicted financial net savings to students, families, schools, communities, state/federal governments</t>
  </si>
  <si>
    <t>Estimated Cost of PAX GBG Materials Per Child for Lifetime Protection</t>
  </si>
  <si>
    <t>Estimated Cost of Internal Supports for Implementation and Maintence by Teachers Prorated per Child's Lifetime</t>
  </si>
  <si>
    <t>Estimated Cost of External Training &amp; Technical Supports Per Teacher Prorated per Child's Lifetime</t>
  </si>
  <si>
    <t>&lt;&lt;&lt; Enter number of First Graders</t>
  </si>
  <si>
    <t>Note: The forecasts are based on multiple randomized, longitudinal control trials of the active ingredients of this evidence based practice. Benefits will vary as consequence of the quality of implementation, training, supports, commitment, and other variables; the predicted impact is greater for first-grade children with higher entering risks for internalizing and externalizing disorders. The cost-savings and lifetoime benefits increase if trained teachers use this evidence-based based strategies in succeeding years for new entering cohorts of grade one children. While PAX GBG has well-documented immediate benefits for students, teachers and schools in other grades, limited randomized longitudinal data exist to forecast similar benefits for other grades at this time. Coypright © 2013-14, PAXIS Institute, All rights reserved. This estimator may not be used for any other evidence-based program than PAX Good Behavior Game®.</t>
  </si>
  <si>
    <t>Calculator for district or school based on just First Grade</t>
  </si>
  <si>
    <t xml:space="preserve">Fewer young people will likely develop serious drug addictions </t>
  </si>
  <si>
    <t xml:space="preserve">Fewer young people will likely become regular smokers </t>
  </si>
  <si>
    <t xml:space="preserve">Fewer young people will likely develop serious alcohol addictions </t>
  </si>
  <si>
    <t>Fewer young women will likely contemplate suicide</t>
  </si>
  <si>
    <t xml:space="preserve">Fewer young men will likely attempt suicide </t>
  </si>
  <si>
    <t>Site Estimate for:</t>
  </si>
  <si>
    <t>To Insert into a report: Please save as PDF or print to PDF. You can insert such PDF's into Microsoft Documents.</t>
  </si>
  <si>
    <t>Predicted Benefits of PAX GBG in Your School, District, Tribe or Community When First Grade Students Reach Adulthood After 1-2 Years of PAX GBG Exposure*</t>
  </si>
  <si>
    <t>Enter number of First Graders at school, district, Tribe or community&gt;&gt;&gt;&gt;&gt;&gt;</t>
  </si>
  <si>
    <t>Replace with your site/place/district/political division</t>
  </si>
  <si>
    <t>your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</si>
</sst>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_);[Red]\(&quot;$&quot;#,##0\)"/>
    <numFmt numFmtId="165" formatCode="&quot;$&quot;#,##0"/>
    <numFmt numFmtId="166" formatCode="&quot;$&quot;#,##0.00"/>
  </numFmts>
  <fonts count="27" x14ac:knownFonts="1">
    <font>
      <sz val="11"/>
      <color theme="1"/>
      <name val="Calibri"/>
      <family val="2"/>
      <scheme val="minor"/>
    </font>
    <font>
      <b/>
      <sz val="11"/>
      <color theme="1"/>
      <name val="Calibri"/>
      <family val="2"/>
      <scheme val="minor"/>
    </font>
    <font>
      <b/>
      <sz val="11"/>
      <color indexed="8"/>
      <name val="Calibri"/>
      <family val="2"/>
    </font>
    <font>
      <b/>
      <sz val="14"/>
      <color rgb="FF0000FF"/>
      <name val="Calibri"/>
      <scheme val="minor"/>
    </font>
    <font>
      <b/>
      <sz val="12"/>
      <color rgb="FF0000FF"/>
      <name val="Calibri"/>
      <scheme val="minor"/>
    </font>
    <font>
      <sz val="8"/>
      <name val="Calibri"/>
      <family val="2"/>
      <scheme val="minor"/>
    </font>
    <font>
      <b/>
      <sz val="11"/>
      <color rgb="FF000000"/>
      <name val="Calibri"/>
      <family val="2"/>
      <scheme val="minor"/>
    </font>
    <font>
      <u/>
      <sz val="11"/>
      <color theme="11"/>
      <name val="Calibri"/>
      <family val="2"/>
      <scheme val="minor"/>
    </font>
    <font>
      <sz val="11"/>
      <color theme="1"/>
      <name val="Times"/>
    </font>
    <font>
      <b/>
      <sz val="12"/>
      <color theme="1"/>
      <name val="Calibri"/>
      <family val="2"/>
      <charset val="129"/>
      <scheme val="minor"/>
    </font>
    <font>
      <b/>
      <sz val="16"/>
      <color theme="1"/>
      <name val="Calibri"/>
      <scheme val="minor"/>
    </font>
    <font>
      <b/>
      <sz val="14"/>
      <color theme="1"/>
      <name val="Calibri"/>
      <scheme val="minor"/>
    </font>
    <font>
      <u/>
      <sz val="11"/>
      <color theme="10"/>
      <name val="Calibri"/>
      <family val="2"/>
      <scheme val="minor"/>
    </font>
    <font>
      <b/>
      <sz val="14"/>
      <color theme="1"/>
      <name val="Times"/>
    </font>
    <font>
      <sz val="14"/>
      <color theme="1"/>
      <name val="Helvetica"/>
    </font>
    <font>
      <sz val="10"/>
      <color theme="1"/>
      <name val="Calibri"/>
      <scheme val="minor"/>
    </font>
    <font>
      <b/>
      <sz val="12"/>
      <color theme="0"/>
      <name val="Calibri"/>
      <family val="2"/>
      <charset val="238"/>
      <scheme val="minor"/>
    </font>
    <font>
      <b/>
      <i/>
      <sz val="16"/>
      <color theme="1"/>
      <name val="Calibri"/>
      <scheme val="minor"/>
    </font>
    <font>
      <b/>
      <sz val="16"/>
      <color theme="0"/>
      <name val="Calibri"/>
      <scheme val="minor"/>
    </font>
    <font>
      <sz val="11"/>
      <color theme="0"/>
      <name val="Calibri"/>
      <scheme val="minor"/>
    </font>
    <font>
      <b/>
      <sz val="11"/>
      <color theme="0"/>
      <name val="Calibri"/>
      <scheme val="minor"/>
    </font>
    <font>
      <sz val="11"/>
      <color theme="0"/>
      <name val="Calibri"/>
    </font>
    <font>
      <b/>
      <sz val="11"/>
      <color theme="0"/>
      <name val="Calibri"/>
    </font>
    <font>
      <b/>
      <sz val="14"/>
      <color theme="0"/>
      <name val="Calibri"/>
    </font>
    <font>
      <b/>
      <sz val="12"/>
      <color theme="0"/>
      <name val="Calibri"/>
    </font>
    <font>
      <sz val="11"/>
      <color theme="0"/>
      <name val="Times"/>
    </font>
    <font>
      <b/>
      <i/>
      <sz val="16"/>
      <color rgb="FFFF0000"/>
      <name val="Calibri"/>
      <scheme val="minor"/>
    </font>
  </fonts>
  <fills count="15">
    <fill>
      <patternFill patternType="none"/>
    </fill>
    <fill>
      <patternFill patternType="gray125"/>
    </fill>
    <fill>
      <patternFill patternType="solid">
        <fgColor theme="5" tint="0.79998168889431442"/>
        <bgColor indexed="64"/>
      </patternFill>
    </fill>
    <fill>
      <patternFill patternType="solid">
        <fgColor theme="3" tint="0.79998168889431442"/>
        <bgColor indexed="64"/>
      </patternFill>
    </fill>
    <fill>
      <patternFill patternType="solid">
        <fgColor rgb="FFCCFFCC"/>
        <bgColor indexed="64"/>
      </patternFill>
    </fill>
    <fill>
      <patternFill patternType="solid">
        <fgColor rgb="FFE5A124"/>
        <bgColor indexed="64"/>
      </patternFill>
    </fill>
    <fill>
      <patternFill patternType="solid">
        <fgColor rgb="FFA1A8FE"/>
        <bgColor indexed="64"/>
      </patternFill>
    </fill>
    <fill>
      <patternFill patternType="solid">
        <fgColor theme="1" tint="0.34998626667073579"/>
        <bgColor indexed="64"/>
      </patternFill>
    </fill>
    <fill>
      <patternFill patternType="solid">
        <fgColor rgb="FFC5D9F1"/>
        <bgColor rgb="FF000000"/>
      </patternFill>
    </fill>
    <fill>
      <patternFill patternType="solid">
        <fgColor theme="0" tint="-0.249977111117893"/>
        <bgColor indexed="64"/>
      </patternFill>
    </fill>
    <fill>
      <patternFill patternType="solid">
        <fgColor rgb="FF1BE524"/>
        <bgColor indexed="64"/>
      </patternFill>
    </fill>
    <fill>
      <patternFill patternType="solid">
        <fgColor rgb="FFFFAE02"/>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s>
  <borders count="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31">
    <xf numFmtId="0" fontId="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xf numFmtId="0" fontId="12" fillId="0" borderId="0" applyNumberFormat="0" applyFill="0" applyBorder="0" applyAlignment="0" applyProtection="0"/>
    <xf numFmtId="0" fontId="7" fillId="0" borderId="0" applyNumberFormat="0" applyFill="0" applyBorder="0" applyAlignment="0" applyProtection="0"/>
  </cellStyleXfs>
  <cellXfs count="92">
    <xf numFmtId="0" fontId="0" fillId="0" borderId="0" xfId="0"/>
    <xf numFmtId="0" fontId="0" fillId="7" borderId="0" xfId="0" applyFill="1" applyBorder="1"/>
    <xf numFmtId="0" fontId="0" fillId="0" borderId="0" xfId="0" applyAlignment="1">
      <alignment vertical="center"/>
    </xf>
    <xf numFmtId="0" fontId="0" fillId="9" borderId="0" xfId="0" applyFill="1"/>
    <xf numFmtId="165" fontId="11" fillId="10" borderId="0" xfId="0" applyNumberFormat="1" applyFont="1" applyFill="1" applyAlignment="1">
      <alignment horizontal="center" vertical="center"/>
    </xf>
    <xf numFmtId="166" fontId="11" fillId="11" borderId="0" xfId="0" applyNumberFormat="1" applyFont="1" applyFill="1" applyAlignment="1">
      <alignment horizontal="center" vertical="center"/>
    </xf>
    <xf numFmtId="3" fontId="11" fillId="3" borderId="0" xfId="0" applyNumberFormat="1" applyFont="1" applyFill="1" applyAlignment="1">
      <alignment horizontal="center" vertical="center"/>
    </xf>
    <xf numFmtId="0" fontId="14" fillId="0" borderId="0" xfId="0" applyFont="1" applyAlignment="1">
      <alignment horizontal="left" vertical="center"/>
    </xf>
    <xf numFmtId="0" fontId="17" fillId="12" borderId="0" xfId="0" applyFont="1" applyFill="1" applyAlignment="1">
      <alignment horizontal="right" vertical="center"/>
    </xf>
    <xf numFmtId="0" fontId="0" fillId="12" borderId="0" xfId="0" applyFill="1"/>
    <xf numFmtId="0" fontId="19" fillId="13" borderId="0" xfId="0" applyFont="1" applyFill="1"/>
    <xf numFmtId="0" fontId="0" fillId="13" borderId="0" xfId="0" applyFill="1" applyBorder="1"/>
    <xf numFmtId="0" fontId="22" fillId="13" borderId="0" xfId="0" applyFont="1" applyFill="1" applyBorder="1" applyAlignment="1">
      <alignment horizontal="center" wrapText="1"/>
    </xf>
    <xf numFmtId="2" fontId="19" fillId="13" borderId="0" xfId="0" applyNumberFormat="1" applyFont="1" applyFill="1" applyBorder="1" applyAlignment="1">
      <alignment wrapText="1"/>
    </xf>
    <xf numFmtId="0" fontId="19" fillId="13" borderId="0" xfId="0" applyFont="1" applyFill="1" applyBorder="1" applyAlignment="1">
      <alignment wrapText="1"/>
    </xf>
    <xf numFmtId="0" fontId="19" fillId="13" borderId="0" xfId="0" applyFont="1" applyFill="1" applyBorder="1"/>
    <xf numFmtId="164" fontId="19" fillId="13" borderId="0" xfId="0" applyNumberFormat="1" applyFont="1" applyFill="1"/>
    <xf numFmtId="165" fontId="19" fillId="13" borderId="0" xfId="0" applyNumberFormat="1" applyFont="1" applyFill="1"/>
    <xf numFmtId="0" fontId="19" fillId="13" borderId="0" xfId="0" applyFont="1" applyFill="1" applyAlignment="1">
      <alignment wrapText="1"/>
    </xf>
    <xf numFmtId="0" fontId="20" fillId="13" borderId="0" xfId="0" applyFont="1" applyFill="1" applyBorder="1" applyAlignment="1">
      <alignment horizontal="center" vertical="center" wrapText="1"/>
    </xf>
    <xf numFmtId="0" fontId="20" fillId="14" borderId="0" xfId="0" applyFont="1" applyFill="1" applyBorder="1" applyAlignment="1">
      <alignment horizontal="center" vertical="center" wrapText="1"/>
    </xf>
    <xf numFmtId="165" fontId="20" fillId="13" borderId="0" xfId="0" applyNumberFormat="1" applyFont="1" applyFill="1" applyBorder="1" applyAlignment="1">
      <alignment horizontal="center" wrapText="1"/>
    </xf>
    <xf numFmtId="0" fontId="20" fillId="13" borderId="0" xfId="0" applyFont="1" applyFill="1" applyBorder="1" applyAlignment="1">
      <alignment horizontal="center" wrapText="1"/>
    </xf>
    <xf numFmtId="0" fontId="20" fillId="14" borderId="0" xfId="0" applyFont="1" applyFill="1" applyBorder="1" applyAlignment="1">
      <alignment horizontal="center" vertical="center"/>
    </xf>
    <xf numFmtId="3" fontId="20" fillId="14" borderId="0" xfId="0" applyNumberFormat="1" applyFont="1" applyFill="1" applyBorder="1" applyAlignment="1">
      <alignment horizontal="center" vertical="center"/>
    </xf>
    <xf numFmtId="9" fontId="20" fillId="14" borderId="0" xfId="0" applyNumberFormat="1" applyFont="1" applyFill="1" applyBorder="1" applyAlignment="1">
      <alignment horizontal="center" vertical="center"/>
    </xf>
    <xf numFmtId="165" fontId="20" fillId="14" borderId="0" xfId="0" applyNumberFormat="1" applyFont="1" applyFill="1" applyBorder="1" applyAlignment="1">
      <alignment horizontal="center" vertical="center" wrapText="1"/>
    </xf>
    <xf numFmtId="164" fontId="20" fillId="13" borderId="0" xfId="0" applyNumberFormat="1" applyFont="1" applyFill="1" applyBorder="1" applyAlignment="1">
      <alignment horizontal="center" vertical="center" wrapText="1"/>
    </xf>
    <xf numFmtId="0" fontId="19" fillId="13" borderId="0" xfId="0" applyFont="1" applyFill="1" applyBorder="1" applyAlignment="1">
      <alignment horizontal="center" vertical="center"/>
    </xf>
    <xf numFmtId="0" fontId="21" fillId="13" borderId="0" xfId="0" applyFont="1" applyFill="1" applyBorder="1"/>
    <xf numFmtId="3" fontId="23" fillId="13" borderId="0" xfId="0" applyNumberFormat="1" applyFont="1" applyFill="1" applyBorder="1"/>
    <xf numFmtId="3" fontId="21" fillId="13" borderId="0" xfId="0" applyNumberFormat="1" applyFont="1" applyFill="1" applyBorder="1" applyAlignment="1">
      <alignment horizontal="center" vertical="center"/>
    </xf>
    <xf numFmtId="3" fontId="22" fillId="13" borderId="0" xfId="0" applyNumberFormat="1" applyFont="1" applyFill="1" applyBorder="1" applyAlignment="1">
      <alignment horizontal="center" vertical="center"/>
    </xf>
    <xf numFmtId="3" fontId="23" fillId="13" borderId="0" xfId="0" applyNumberFormat="1" applyFont="1" applyFill="1" applyBorder="1" applyAlignment="1">
      <alignment horizontal="center" vertical="center"/>
    </xf>
    <xf numFmtId="165" fontId="24" fillId="13" borderId="0" xfId="0" applyNumberFormat="1" applyFont="1" applyFill="1" applyBorder="1" applyAlignment="1">
      <alignment horizontal="center" vertical="center"/>
    </xf>
    <xf numFmtId="1" fontId="21" fillId="13" borderId="0" xfId="0" applyNumberFormat="1" applyFont="1" applyFill="1" applyBorder="1" applyAlignment="1">
      <alignment horizontal="center"/>
    </xf>
    <xf numFmtId="165" fontId="21" fillId="13" borderId="0" xfId="0" applyNumberFormat="1" applyFont="1" applyFill="1" applyBorder="1"/>
    <xf numFmtId="3" fontId="0" fillId="13" borderId="0" xfId="0" applyNumberFormat="1" applyFill="1" applyBorder="1"/>
    <xf numFmtId="0" fontId="0" fillId="13" borderId="0" xfId="0" applyFill="1" applyBorder="1" applyAlignment="1">
      <alignment horizontal="center" vertical="center"/>
    </xf>
    <xf numFmtId="165" fontId="0" fillId="13" borderId="0" xfId="0" applyNumberFormat="1" applyFill="1" applyBorder="1"/>
    <xf numFmtId="0" fontId="0" fillId="13" borderId="0" xfId="0" applyFill="1" applyBorder="1" applyAlignment="1">
      <alignment horizontal="center"/>
    </xf>
    <xf numFmtId="0" fontId="1" fillId="7" borderId="0" xfId="0" applyFont="1" applyFill="1" applyBorder="1"/>
    <xf numFmtId="0" fontId="2" fillId="7" borderId="0" xfId="0" applyFont="1" applyFill="1" applyBorder="1" applyAlignment="1">
      <alignment horizontal="center"/>
    </xf>
    <xf numFmtId="3" fontId="1" fillId="7" borderId="0" xfId="0" applyNumberFormat="1" applyFont="1" applyFill="1" applyBorder="1" applyAlignment="1">
      <alignment horizontal="center"/>
    </xf>
    <xf numFmtId="0" fontId="1" fillId="0" borderId="0" xfId="0" applyFont="1" applyFill="1" applyBorder="1" applyAlignment="1">
      <alignment horizontal="center"/>
    </xf>
    <xf numFmtId="0" fontId="1" fillId="3" borderId="0" xfId="0" applyFont="1" applyFill="1" applyBorder="1" applyAlignment="1">
      <alignment horizontal="center" vertical="center" wrapText="1"/>
    </xf>
    <xf numFmtId="0" fontId="6" fillId="8"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4" borderId="0" xfId="0" applyFont="1" applyFill="1" applyBorder="1" applyAlignment="1">
      <alignment horizontal="center" vertical="center" wrapText="1"/>
    </xf>
    <xf numFmtId="165"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0" fontId="0" fillId="0" borderId="0" xfId="0" applyBorder="1"/>
    <xf numFmtId="3" fontId="0" fillId="7" borderId="0" xfId="0" applyNumberFormat="1" applyFill="1" applyBorder="1"/>
    <xf numFmtId="0" fontId="1" fillId="0" borderId="0" xfId="0" applyFont="1" applyBorder="1" applyAlignment="1">
      <alignment horizontal="center" vertical="center" wrapText="1"/>
    </xf>
    <xf numFmtId="3" fontId="0" fillId="3" borderId="0" xfId="0" applyNumberFormat="1" applyFill="1" applyBorder="1" applyAlignment="1">
      <alignment horizontal="center" vertical="center"/>
    </xf>
    <xf numFmtId="165" fontId="4" fillId="3" borderId="0" xfId="0" applyNumberFormat="1" applyFont="1" applyFill="1" applyBorder="1" applyAlignment="1">
      <alignment horizontal="center" vertical="center"/>
    </xf>
    <xf numFmtId="165" fontId="0" fillId="3" borderId="0" xfId="0" applyNumberFormat="1" applyFill="1" applyBorder="1" applyAlignment="1">
      <alignment horizontal="center" vertical="center"/>
    </xf>
    <xf numFmtId="165" fontId="4" fillId="0" borderId="0" xfId="0" applyNumberFormat="1" applyFont="1" applyBorder="1" applyAlignment="1">
      <alignment horizontal="center" vertical="center"/>
    </xf>
    <xf numFmtId="1" fontId="3" fillId="0" borderId="0" xfId="0" applyNumberFormat="1" applyFont="1" applyBorder="1" applyAlignment="1">
      <alignment horizontal="center" vertical="center"/>
    </xf>
    <xf numFmtId="0" fontId="20" fillId="13" borderId="0" xfId="0" applyFont="1" applyFill="1" applyBorder="1" applyAlignment="1">
      <alignment horizontal="right"/>
    </xf>
    <xf numFmtId="3" fontId="20" fillId="13" borderId="0" xfId="0" applyNumberFormat="1" applyFont="1" applyFill="1" applyBorder="1"/>
    <xf numFmtId="165" fontId="16" fillId="13" borderId="0" xfId="0" applyNumberFormat="1" applyFont="1" applyFill="1" applyBorder="1"/>
    <xf numFmtId="0" fontId="20" fillId="13" borderId="0" xfId="0" applyFont="1" applyFill="1" applyBorder="1"/>
    <xf numFmtId="0" fontId="25" fillId="13" borderId="0" xfId="0" applyFont="1" applyFill="1" applyBorder="1" applyAlignment="1"/>
    <xf numFmtId="0" fontId="25" fillId="13" borderId="0" xfId="0" applyFont="1" applyFill="1" applyBorder="1" applyAlignment="1">
      <alignment vertical="center"/>
    </xf>
    <xf numFmtId="1" fontId="19" fillId="13" borderId="0" xfId="0" applyNumberFormat="1" applyFont="1" applyFill="1" applyBorder="1"/>
    <xf numFmtId="164" fontId="19" fillId="13" borderId="0" xfId="0" applyNumberFormat="1" applyFont="1" applyFill="1" applyBorder="1"/>
    <xf numFmtId="165" fontId="19" fillId="13" borderId="0" xfId="0" applyNumberFormat="1" applyFont="1" applyFill="1" applyBorder="1"/>
    <xf numFmtId="164" fontId="19" fillId="13" borderId="0" xfId="0" applyNumberFormat="1" applyFont="1" applyFill="1" applyBorder="1" applyAlignment="1">
      <alignment horizontal="left" indent="1"/>
    </xf>
    <xf numFmtId="0" fontId="25" fillId="13" borderId="0" xfId="0" applyFont="1" applyFill="1" applyBorder="1"/>
    <xf numFmtId="3" fontId="19" fillId="13" borderId="0" xfId="0" applyNumberFormat="1" applyFont="1" applyFill="1" applyBorder="1"/>
    <xf numFmtId="0" fontId="9" fillId="0" borderId="0" xfId="0" applyFont="1"/>
    <xf numFmtId="0" fontId="26" fillId="0" borderId="0" xfId="0" applyFont="1" applyAlignment="1" applyProtection="1">
      <alignment vertical="center"/>
      <protection locked="0"/>
    </xf>
    <xf numFmtId="0" fontId="13" fillId="0" borderId="0" xfId="0" applyFont="1" applyAlignment="1">
      <alignment horizontal="left" vertical="center" wrapText="1"/>
    </xf>
    <xf numFmtId="0" fontId="8" fillId="0" borderId="0" xfId="0" applyFont="1" applyAlignment="1">
      <alignment horizontal="left" vertical="center" wrapText="1"/>
    </xf>
    <xf numFmtId="0" fontId="10" fillId="12" borderId="0" xfId="0" applyFont="1" applyFill="1" applyAlignment="1">
      <alignment vertical="center" wrapText="1"/>
    </xf>
    <xf numFmtId="0" fontId="10" fillId="0" borderId="0" xfId="0" applyFont="1" applyAlignment="1">
      <alignment vertical="center" wrapText="1"/>
    </xf>
    <xf numFmtId="0" fontId="15" fillId="0" borderId="1" xfId="0" applyFont="1" applyBorder="1" applyAlignment="1">
      <alignment vertical="center" wrapText="1"/>
    </xf>
    <xf numFmtId="0" fontId="15" fillId="0" borderId="2" xfId="0" applyFont="1" applyBorder="1" applyAlignment="1">
      <alignment vertical="center" wrapText="1"/>
    </xf>
    <xf numFmtId="0" fontId="15" fillId="0" borderId="3" xfId="0" applyFont="1" applyBorder="1" applyAlignment="1">
      <alignment vertical="center" wrapText="1"/>
    </xf>
    <xf numFmtId="0" fontId="0" fillId="0" borderId="0" xfId="0" applyAlignment="1">
      <alignment vertical="center" wrapText="1"/>
    </xf>
    <xf numFmtId="0" fontId="0" fillId="0" borderId="0" xfId="0" applyAlignment="1">
      <alignment vertical="center"/>
    </xf>
    <xf numFmtId="0" fontId="11" fillId="12" borderId="0" xfId="0" applyFont="1" applyFill="1" applyAlignment="1">
      <alignment horizontal="right" vertical="center" wrapText="1"/>
    </xf>
    <xf numFmtId="3" fontId="10" fillId="0" borderId="0" xfId="0" applyNumberFormat="1" applyFont="1" applyBorder="1" applyAlignment="1" applyProtection="1">
      <alignment horizontal="center" vertical="center"/>
      <protection locked="0"/>
    </xf>
    <xf numFmtId="0" fontId="1" fillId="0" borderId="0" xfId="0" applyFont="1" applyAlignment="1">
      <alignment horizontal="left" vertical="center" wrapText="1"/>
    </xf>
    <xf numFmtId="0" fontId="13" fillId="0" borderId="0" xfId="0" applyFont="1" applyFill="1" applyBorder="1" applyAlignment="1">
      <alignment horizontal="left" vertical="center" wrapText="1"/>
    </xf>
    <xf numFmtId="0" fontId="0" fillId="0" borderId="0" xfId="0" applyAlignment="1">
      <alignment horizontal="left" vertical="center" wrapText="1"/>
    </xf>
    <xf numFmtId="0" fontId="18" fillId="13" borderId="0" xfId="0" applyFont="1" applyFill="1" applyBorder="1" applyAlignment="1">
      <alignment horizontal="center" vertical="center"/>
    </xf>
    <xf numFmtId="0" fontId="19" fillId="13" borderId="0" xfId="0" applyFont="1" applyFill="1" applyBorder="1" applyAlignment="1">
      <alignment horizontal="center" vertical="center"/>
    </xf>
    <xf numFmtId="0" fontId="22" fillId="13" borderId="0" xfId="0" applyFont="1" applyFill="1" applyBorder="1" applyAlignment="1">
      <alignment horizontal="right"/>
    </xf>
  </cellXfs>
  <cellStyles count="231">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Normal" xfId="0" builtinId="0"/>
  </cellStyles>
  <dxfs count="0"/>
  <tableStyles count="0" defaultTableStyle="TableStyleMedium2"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ti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 Id="rId2" Type="http://schemas.openxmlformats.org/officeDocument/2006/relationships/image" Target="../media/image4.emf"/><Relationship Id="rId3"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88900</xdr:rowOff>
    </xdr:from>
    <xdr:to>
      <xdr:col>5</xdr:col>
      <xdr:colOff>181187</xdr:colOff>
      <xdr:row>8</xdr:row>
      <xdr:rowOff>165100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88900"/>
          <a:ext cx="4600787" cy="1566333"/>
        </a:xfrm>
        <a:prstGeom prst="rect">
          <a:avLst/>
        </a:prstGeom>
      </xdr:spPr>
    </xdr:pic>
    <xdr:clientData/>
  </xdr:twoCellAnchor>
  <xdr:twoCellAnchor editAs="oneCell">
    <xdr:from>
      <xdr:col>5</xdr:col>
      <xdr:colOff>287870</xdr:colOff>
      <xdr:row>1</xdr:row>
      <xdr:rowOff>118535</xdr:rowOff>
    </xdr:from>
    <xdr:to>
      <xdr:col>8</xdr:col>
      <xdr:colOff>220078</xdr:colOff>
      <xdr:row>9</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5101170" y="296335"/>
          <a:ext cx="3246908" cy="1303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50800</xdr:rowOff>
    </xdr:from>
    <xdr:to>
      <xdr:col>25</xdr:col>
      <xdr:colOff>543010</xdr:colOff>
      <xdr:row>23</xdr:row>
      <xdr:rowOff>508000</xdr:rowOff>
    </xdr:to>
    <xdr:pic>
      <xdr:nvPicPr>
        <xdr:cNvPr id="3" name="Picture 2"/>
        <xdr:cNvPicPr>
          <a:picLocks noChangeAspect="1"/>
        </xdr:cNvPicPr>
      </xdr:nvPicPr>
      <xdr:blipFill rotWithShape="1">
        <a:blip xmlns:r="http://schemas.openxmlformats.org/officeDocument/2006/relationships" r:embed="rId1"/>
        <a:srcRect l="3075" t="7197" b="64772"/>
        <a:stretch/>
      </xdr:blipFill>
      <xdr:spPr>
        <a:xfrm>
          <a:off x="266700" y="50800"/>
          <a:ext cx="17611810" cy="6591300"/>
        </a:xfrm>
        <a:prstGeom prst="rect">
          <a:avLst/>
        </a:prstGeom>
      </xdr:spPr>
    </xdr:pic>
    <xdr:clientData/>
  </xdr:twoCellAnchor>
  <xdr:twoCellAnchor editAs="oneCell">
    <xdr:from>
      <xdr:col>0</xdr:col>
      <xdr:colOff>0</xdr:colOff>
      <xdr:row>23</xdr:row>
      <xdr:rowOff>558800</xdr:rowOff>
    </xdr:from>
    <xdr:to>
      <xdr:col>14</xdr:col>
      <xdr:colOff>652007</xdr:colOff>
      <xdr:row>86</xdr:row>
      <xdr:rowOff>114300</xdr:rowOff>
    </xdr:to>
    <xdr:pic>
      <xdr:nvPicPr>
        <xdr:cNvPr id="4" name="Picture 3"/>
        <xdr:cNvPicPr>
          <a:picLocks noChangeAspect="1"/>
        </xdr:cNvPicPr>
      </xdr:nvPicPr>
      <xdr:blipFill rotWithShape="1">
        <a:blip xmlns:r="http://schemas.openxmlformats.org/officeDocument/2006/relationships" r:embed="rId2"/>
        <a:srcRect b="12879"/>
        <a:stretch/>
      </xdr:blipFill>
      <xdr:spPr>
        <a:xfrm>
          <a:off x="0" y="6692900"/>
          <a:ext cx="10329407" cy="11645900"/>
        </a:xfrm>
        <a:prstGeom prst="rect">
          <a:avLst/>
        </a:prstGeom>
      </xdr:spPr>
    </xdr:pic>
    <xdr:clientData/>
  </xdr:twoCellAnchor>
  <xdr:twoCellAnchor editAs="oneCell">
    <xdr:from>
      <xdr:col>14</xdr:col>
      <xdr:colOff>393699</xdr:colOff>
      <xdr:row>24</xdr:row>
      <xdr:rowOff>241300</xdr:rowOff>
    </xdr:from>
    <xdr:to>
      <xdr:col>28</xdr:col>
      <xdr:colOff>304222</xdr:colOff>
      <xdr:row>93</xdr:row>
      <xdr:rowOff>25400</xdr:rowOff>
    </xdr:to>
    <xdr:pic>
      <xdr:nvPicPr>
        <xdr:cNvPr id="5" name="Picture 4"/>
        <xdr:cNvPicPr>
          <a:picLocks noChangeAspect="1"/>
        </xdr:cNvPicPr>
      </xdr:nvPicPr>
      <xdr:blipFill>
        <a:blip xmlns:r="http://schemas.openxmlformats.org/officeDocument/2006/relationships" r:embed="rId3"/>
        <a:stretch>
          <a:fillRect/>
        </a:stretch>
      </xdr:blipFill>
      <xdr:spPr>
        <a:xfrm>
          <a:off x="10071099" y="7086600"/>
          <a:ext cx="9587923" cy="1240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B10:H34"/>
  <sheetViews>
    <sheetView showGridLines="0" tabSelected="1" topLeftCell="A5" workbookViewId="0">
      <selection activeCell="D12" sqref="D12:E12"/>
    </sheetView>
  </sheetViews>
  <sheetFormatPr baseColWidth="10" defaultRowHeight="14" x14ac:dyDescent="0"/>
  <cols>
    <col min="2" max="2" width="18.1640625" customWidth="1"/>
    <col min="3" max="3" width="14.6640625" customWidth="1"/>
    <col min="8" max="8" width="21.83203125" customWidth="1"/>
  </cols>
  <sheetData>
    <row r="10" spans="2:8" s="2" customFormat="1" ht="48" customHeight="1">
      <c r="B10" s="78" t="s">
        <v>93</v>
      </c>
      <c r="C10" s="78"/>
      <c r="D10" s="78"/>
      <c r="E10" s="78"/>
      <c r="F10" s="78"/>
      <c r="G10" s="82"/>
      <c r="H10" s="83"/>
    </row>
    <row r="11" spans="2:8" ht="28" customHeight="1">
      <c r="B11" s="9"/>
      <c r="C11" s="8" t="s">
        <v>91</v>
      </c>
      <c r="D11" s="74" t="s">
        <v>95</v>
      </c>
    </row>
    <row r="12" spans="2:8" ht="50" customHeight="1">
      <c r="B12" s="84" t="s">
        <v>94</v>
      </c>
      <c r="C12" s="84"/>
      <c r="D12" s="85" t="s">
        <v>96</v>
      </c>
      <c r="E12" s="85"/>
      <c r="F12" s="77" t="s">
        <v>83</v>
      </c>
      <c r="G12" s="78"/>
      <c r="H12" s="78"/>
    </row>
    <row r="14" spans="2:8" s="2" customFormat="1" ht="22" customHeight="1">
      <c r="B14" s="6" t="e">
        <f>data!B10</f>
        <v>#VALUE!</v>
      </c>
      <c r="C14" s="7" t="s">
        <v>69</v>
      </c>
    </row>
    <row r="15" spans="2:8" s="2" customFormat="1" ht="22" customHeight="1">
      <c r="B15" s="6" t="e">
        <f>data!B11</f>
        <v>#VALUE!</v>
      </c>
      <c r="C15" s="7" t="s">
        <v>70</v>
      </c>
    </row>
    <row r="16" spans="2:8" s="2" customFormat="1" ht="22" customHeight="1">
      <c r="B16" s="6" t="e">
        <f>data!B12</f>
        <v>#VALUE!</v>
      </c>
      <c r="C16" s="7" t="s">
        <v>71</v>
      </c>
    </row>
    <row r="17" spans="2:8" s="2" customFormat="1" ht="22" customHeight="1">
      <c r="B17" s="6" t="e">
        <f>data!B13</f>
        <v>#VALUE!</v>
      </c>
      <c r="C17" s="7" t="s">
        <v>72</v>
      </c>
    </row>
    <row r="18" spans="2:8" s="2" customFormat="1" ht="22" customHeight="1">
      <c r="B18" s="6" t="e">
        <f>data!B14</f>
        <v>#VALUE!</v>
      </c>
      <c r="C18" s="7" t="s">
        <v>73</v>
      </c>
    </row>
    <row r="19" spans="2:8" s="2" customFormat="1" ht="22" customHeight="1">
      <c r="B19" s="6" t="e">
        <f>data!B15</f>
        <v>#VALUE!</v>
      </c>
      <c r="C19" s="7" t="s">
        <v>67</v>
      </c>
    </row>
    <row r="20" spans="2:8" s="2" customFormat="1" ht="22" customHeight="1">
      <c r="B20" s="6" t="e">
        <f>data!B16</f>
        <v>#VALUE!</v>
      </c>
      <c r="C20" s="7" t="s">
        <v>86</v>
      </c>
    </row>
    <row r="21" spans="2:8" s="2" customFormat="1" ht="22" customHeight="1">
      <c r="B21" s="6" t="e">
        <f>data!B17</f>
        <v>#VALUE!</v>
      </c>
      <c r="C21" s="7" t="s">
        <v>87</v>
      </c>
    </row>
    <row r="22" spans="2:8" s="2" customFormat="1" ht="22" customHeight="1">
      <c r="B22" s="6" t="e">
        <f>data!B18</f>
        <v>#VALUE!</v>
      </c>
      <c r="C22" s="7" t="s">
        <v>88</v>
      </c>
    </row>
    <row r="23" spans="2:8" s="2" customFormat="1" ht="22" customHeight="1">
      <c r="B23" s="6" t="e">
        <f>data!B19</f>
        <v>#VALUE!</v>
      </c>
      <c r="C23" s="7" t="s">
        <v>89</v>
      </c>
    </row>
    <row r="24" spans="2:8" s="2" customFormat="1" ht="22" customHeight="1">
      <c r="B24" s="6" t="e">
        <f>data!B20</f>
        <v>#VALUE!</v>
      </c>
      <c r="C24" s="7" t="s">
        <v>90</v>
      </c>
    </row>
    <row r="25" spans="2:8">
      <c r="B25" s="3"/>
      <c r="C25" s="3"/>
      <c r="D25" s="3"/>
      <c r="E25" s="3"/>
      <c r="F25" s="3"/>
      <c r="G25" s="3"/>
      <c r="H25" s="3"/>
    </row>
    <row r="26" spans="2:8" ht="40" customHeight="1">
      <c r="B26" s="4" t="e">
        <f>data!E7</f>
        <v>#VALUE!</v>
      </c>
      <c r="C26" s="75" t="s">
        <v>79</v>
      </c>
      <c r="D26" s="86"/>
      <c r="E26" s="86"/>
      <c r="F26" s="86"/>
      <c r="G26" s="86"/>
      <c r="H26" s="86"/>
    </row>
    <row r="27" spans="2:8" ht="39" customHeight="1">
      <c r="B27" s="5" t="e">
        <f>((D12/15)*355)/D12</f>
        <v>#VALUE!</v>
      </c>
      <c r="C27" s="87" t="s">
        <v>80</v>
      </c>
      <c r="D27" s="88"/>
      <c r="E27" s="88"/>
      <c r="F27" s="88"/>
      <c r="G27" s="88"/>
      <c r="H27" s="88"/>
    </row>
    <row r="28" spans="2:8" ht="36" customHeight="1">
      <c r="B28" s="5" t="e">
        <f>((D12/25)*550)/D12</f>
        <v>#VALUE!</v>
      </c>
      <c r="C28" s="75" t="s">
        <v>82</v>
      </c>
      <c r="D28" s="75"/>
      <c r="E28" s="75"/>
      <c r="F28" s="75"/>
      <c r="G28" s="75"/>
      <c r="H28" s="75"/>
    </row>
    <row r="29" spans="2:8" ht="39" customHeight="1">
      <c r="B29" s="5" t="e">
        <f>((D12/25)*670)/D12</f>
        <v>#VALUE!</v>
      </c>
      <c r="C29" s="75" t="s">
        <v>81</v>
      </c>
      <c r="D29" s="76"/>
      <c r="E29" s="76"/>
      <c r="F29" s="76"/>
      <c r="G29" s="76"/>
      <c r="H29" s="76"/>
    </row>
    <row r="30" spans="2:8">
      <c r="B30" s="3"/>
      <c r="C30" s="3"/>
      <c r="D30" s="3"/>
      <c r="E30" s="3"/>
      <c r="F30" s="3"/>
      <c r="G30" s="3"/>
      <c r="H30" s="3"/>
    </row>
    <row r="32" spans="2:8" ht="112" customHeight="1">
      <c r="B32" s="79" t="s">
        <v>84</v>
      </c>
      <c r="C32" s="80"/>
      <c r="D32" s="80"/>
      <c r="E32" s="80"/>
      <c r="F32" s="80"/>
      <c r="G32" s="80"/>
      <c r="H32" s="81"/>
    </row>
    <row r="34" spans="2:2" ht="15">
      <c r="B34" s="73" t="s">
        <v>92</v>
      </c>
    </row>
  </sheetData>
  <sheetProtection password="F954" sheet="1" objects="1" scenarios="1" selectLockedCells="1"/>
  <mergeCells count="9">
    <mergeCell ref="C28:H28"/>
    <mergeCell ref="C29:H29"/>
    <mergeCell ref="F12:H12"/>
    <mergeCell ref="B32:H32"/>
    <mergeCell ref="B10:H10"/>
    <mergeCell ref="B12:C12"/>
    <mergeCell ref="D12:E12"/>
    <mergeCell ref="C26:H26"/>
    <mergeCell ref="C27:H27"/>
  </mergeCells>
  <phoneticPr fontId="5" type="noConversion"/>
  <pageMargins left="0.75" right="0.75" top="1" bottom="1" header="0.5" footer="0.5"/>
  <pageSetup scale="70" orientation="portrait" horizontalDpi="4294967292" verticalDpi="4294967292"/>
  <drawing r:id="rId1"/>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AS31"/>
  <sheetViews>
    <sheetView topLeftCell="J1" workbookViewId="0">
      <selection activeCell="Z95" sqref="Z95"/>
    </sheetView>
  </sheetViews>
  <sheetFormatPr baseColWidth="10" defaultColWidth="8.83203125" defaultRowHeight="14" x14ac:dyDescent="0"/>
  <cols>
    <col min="5" max="5" width="12.1640625" customWidth="1"/>
    <col min="15" max="15" width="10.1640625" bestFit="1" customWidth="1"/>
    <col min="17" max="17" width="10.83203125" bestFit="1" customWidth="1"/>
    <col min="37" max="37" width="12.6640625" customWidth="1"/>
    <col min="40" max="40" width="12.6640625" customWidth="1"/>
    <col min="41" max="41" width="13.33203125" customWidth="1"/>
    <col min="42" max="42" width="14" customWidth="1"/>
    <col min="43" max="43" width="13.5" customWidth="1"/>
    <col min="44" max="44" width="13.83203125" customWidth="1"/>
  </cols>
  <sheetData>
    <row r="1" spans="1:45" s="15" customFormat="1" ht="125" customHeight="1">
      <c r="A1" s="89" t="s">
        <v>85</v>
      </c>
      <c r="B1" s="90"/>
      <c r="C1" s="90"/>
      <c r="D1" s="90"/>
      <c r="E1" s="90"/>
      <c r="F1" s="90"/>
      <c r="G1" s="90"/>
      <c r="H1" s="90"/>
      <c r="I1" s="19" t="s">
        <v>36</v>
      </c>
      <c r="J1" s="20" t="s">
        <v>38</v>
      </c>
      <c r="K1" s="20" t="s">
        <v>39</v>
      </c>
      <c r="L1" s="19" t="s">
        <v>6</v>
      </c>
      <c r="M1" s="19" t="s">
        <v>37</v>
      </c>
      <c r="N1" s="19" t="s">
        <v>40</v>
      </c>
      <c r="O1" s="19" t="s">
        <v>41</v>
      </c>
      <c r="P1" s="19" t="s">
        <v>11</v>
      </c>
      <c r="Q1" s="19" t="s">
        <v>20</v>
      </c>
      <c r="R1" s="19" t="s">
        <v>21</v>
      </c>
      <c r="S1" s="19" t="s">
        <v>12</v>
      </c>
      <c r="T1" s="19" t="s">
        <v>23</v>
      </c>
      <c r="U1" s="19" t="s">
        <v>22</v>
      </c>
      <c r="V1" s="19" t="s">
        <v>19</v>
      </c>
      <c r="W1" s="19" t="s">
        <v>18</v>
      </c>
      <c r="X1" s="19" t="s">
        <v>24</v>
      </c>
      <c r="Y1" s="19" t="s">
        <v>13</v>
      </c>
      <c r="Z1" s="19" t="s">
        <v>17</v>
      </c>
      <c r="AA1" s="19" t="s">
        <v>25</v>
      </c>
      <c r="AB1" s="19" t="s">
        <v>14</v>
      </c>
      <c r="AC1" s="19" t="s">
        <v>7</v>
      </c>
      <c r="AD1" s="19" t="s">
        <v>26</v>
      </c>
      <c r="AE1" s="19" t="s">
        <v>15</v>
      </c>
      <c r="AF1" s="19" t="s">
        <v>8</v>
      </c>
      <c r="AG1" s="19" t="s">
        <v>27</v>
      </c>
      <c r="AH1" s="19" t="s">
        <v>16</v>
      </c>
      <c r="AI1" s="19" t="s">
        <v>9</v>
      </c>
      <c r="AJ1" s="19" t="s">
        <v>28</v>
      </c>
      <c r="AK1" s="21" t="s">
        <v>46</v>
      </c>
      <c r="AL1" s="22" t="s">
        <v>5</v>
      </c>
      <c r="AM1" s="22" t="s">
        <v>2</v>
      </c>
      <c r="AN1" s="22" t="s">
        <v>35</v>
      </c>
      <c r="AO1" s="22" t="s">
        <v>34</v>
      </c>
      <c r="AP1" s="22" t="s">
        <v>4</v>
      </c>
      <c r="AQ1" s="22" t="s">
        <v>0</v>
      </c>
      <c r="AR1" s="22" t="s">
        <v>33</v>
      </c>
      <c r="AS1" s="22" t="s">
        <v>31</v>
      </c>
    </row>
    <row r="2" spans="1:45" s="15" customFormat="1">
      <c r="A2" s="23"/>
      <c r="B2" s="23"/>
      <c r="C2" s="23"/>
      <c r="D2" s="23"/>
      <c r="E2" s="23"/>
      <c r="F2" s="23"/>
      <c r="G2" s="24"/>
      <c r="H2" s="23"/>
      <c r="I2" s="20"/>
      <c r="J2" s="20"/>
      <c r="K2" s="20"/>
      <c r="L2" s="25">
        <v>0.12</v>
      </c>
      <c r="M2" s="23"/>
      <c r="N2" s="23"/>
      <c r="O2" s="23"/>
      <c r="P2" s="23"/>
      <c r="Q2" s="23"/>
      <c r="R2" s="23"/>
      <c r="S2" s="20"/>
      <c r="T2" s="20"/>
      <c r="U2" s="20"/>
      <c r="V2" s="20"/>
      <c r="W2" s="20"/>
      <c r="X2" s="20"/>
      <c r="Y2" s="20"/>
      <c r="Z2" s="20"/>
      <c r="AA2" s="20"/>
      <c r="AB2" s="20"/>
      <c r="AC2" s="20"/>
      <c r="AD2" s="20"/>
      <c r="AE2" s="20"/>
      <c r="AF2" s="20"/>
      <c r="AG2" s="20"/>
      <c r="AH2" s="20"/>
      <c r="AI2" s="20"/>
      <c r="AJ2" s="20"/>
      <c r="AK2" s="26"/>
      <c r="AL2" s="20"/>
      <c r="AM2" s="27">
        <v>350</v>
      </c>
      <c r="AN2" s="27">
        <v>500</v>
      </c>
      <c r="AO2" s="27">
        <v>150</v>
      </c>
      <c r="AP2" s="20"/>
      <c r="AQ2" s="20"/>
      <c r="AR2" s="28"/>
      <c r="AS2" s="28"/>
    </row>
    <row r="3" spans="1:45" s="29" customFormat="1" ht="18.75" customHeight="1">
      <c r="B3" s="91" t="s">
        <v>68</v>
      </c>
      <c r="C3" s="91"/>
      <c r="D3" s="91"/>
      <c r="E3" s="91"/>
      <c r="F3" s="91"/>
      <c r="G3" s="91"/>
      <c r="H3" s="30" t="str">
        <f>Impact!D12</f>
        <v>your numbers</v>
      </c>
      <c r="I3" s="31" t="e">
        <f>0.506*H3</f>
        <v>#VALUE!</v>
      </c>
      <c r="J3" s="32" t="e">
        <f>(I3*0.553)-(I3*0.443)</f>
        <v>#VALUE!</v>
      </c>
      <c r="K3" s="32" t="e">
        <f>(I3*0.26)-(I3*0.128)</f>
        <v>#VALUE!</v>
      </c>
      <c r="L3" s="31" t="e">
        <f>I3*$L$2</f>
        <v>#VALUE!</v>
      </c>
      <c r="M3" s="31" t="e">
        <f>H3*0.485</f>
        <v>#VALUE!</v>
      </c>
      <c r="N3" s="32" t="e">
        <f>(M3*0.736)-(M3*0.553)</f>
        <v>#VALUE!</v>
      </c>
      <c r="O3" s="32" t="e">
        <f>(M3*0.403)-(M3*0.26)</f>
        <v>#VALUE!</v>
      </c>
      <c r="P3" s="31" t="e">
        <f>L3*0.5</f>
        <v>#VALUE!</v>
      </c>
      <c r="Q3" s="31" t="e">
        <f>L3*0.34</f>
        <v>#VALUE!</v>
      </c>
      <c r="R3" s="33" t="e">
        <f>P3-Q3</f>
        <v>#VALUE!</v>
      </c>
      <c r="S3" s="31" t="e">
        <f>I3*0.38</f>
        <v>#VALUE!</v>
      </c>
      <c r="T3" s="31" t="e">
        <f>I3*0.19</f>
        <v>#VALUE!</v>
      </c>
      <c r="U3" s="33" t="e">
        <f>S3-T3</f>
        <v>#VALUE!</v>
      </c>
      <c r="V3" s="31" t="e">
        <f>I3*0.19</f>
        <v>#VALUE!</v>
      </c>
      <c r="W3" s="31" t="e">
        <f t="shared" ref="W3" si="0">I3*0.06</f>
        <v>#VALUE!</v>
      </c>
      <c r="X3" s="33" t="e">
        <f>V3-W3</f>
        <v>#VALUE!</v>
      </c>
      <c r="Y3" s="31" t="e">
        <f t="shared" ref="Y3" si="1">I3*0.2</f>
        <v>#VALUE!</v>
      </c>
      <c r="Z3" s="31" t="e">
        <f t="shared" ref="Z3" si="2">I3*0.13</f>
        <v>#VALUE!</v>
      </c>
      <c r="AA3" s="33" t="e">
        <f>Y3-Z3</f>
        <v>#VALUE!</v>
      </c>
      <c r="AB3" s="31" t="e">
        <f t="shared" ref="AB3" si="3">I3*0.42</f>
        <v>#VALUE!</v>
      </c>
      <c r="AC3" s="31" t="e">
        <f t="shared" ref="AC3" si="4">I3*0.25</f>
        <v>#VALUE!</v>
      </c>
      <c r="AD3" s="33" t="e">
        <f>AB3-AC3</f>
        <v>#VALUE!</v>
      </c>
      <c r="AE3" s="31" t="e">
        <f t="shared" ref="AE3" si="5">M3*0.19</f>
        <v>#VALUE!</v>
      </c>
      <c r="AF3" s="31" t="e">
        <f t="shared" ref="AF3" si="6">M3*0.09</f>
        <v>#VALUE!</v>
      </c>
      <c r="AG3" s="33" t="e">
        <f>AE3-AF3</f>
        <v>#VALUE!</v>
      </c>
      <c r="AH3" s="31" t="e">
        <f t="shared" ref="AH3" si="7">I3*0.24</f>
        <v>#VALUE!</v>
      </c>
      <c r="AI3" s="31" t="e">
        <f t="shared" ref="AI3" si="8">I3*0.11</f>
        <v>#VALUE!</v>
      </c>
      <c r="AJ3" s="33" t="e">
        <f>AH3-AI3</f>
        <v>#VALUE!</v>
      </c>
      <c r="AK3" s="34" t="e">
        <f>H3*13020</f>
        <v>#VALUE!</v>
      </c>
      <c r="AL3" s="35" t="e">
        <f t="shared" ref="AL3" si="9">H3/22</f>
        <v>#VALUE!</v>
      </c>
      <c r="AM3" s="36" t="e">
        <f>AL3*350</f>
        <v>#VALUE!</v>
      </c>
      <c r="AN3" s="36" t="e">
        <f>AL3*500</f>
        <v>#VALUE!</v>
      </c>
      <c r="AO3" s="36" t="e">
        <f t="shared" ref="AO3" si="10">H3*150</f>
        <v>#VALUE!</v>
      </c>
      <c r="AP3" s="36" t="e">
        <f>AM3+AN3</f>
        <v>#VALUE!</v>
      </c>
      <c r="AQ3" s="36" t="e">
        <f>AO3-AP3</f>
        <v>#VALUE!</v>
      </c>
    </row>
    <row r="4" spans="1:45" s="11" customFormat="1" ht="18" customHeight="1">
      <c r="G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9"/>
      <c r="AL4" s="40"/>
    </row>
    <row r="5" spans="1:45" s="53" customFormat="1" ht="174" hidden="1" customHeight="1" thickBot="1">
      <c r="A5" s="41"/>
      <c r="B5" s="41"/>
      <c r="C5" s="41"/>
      <c r="D5" s="42"/>
      <c r="E5" s="42"/>
      <c r="F5" s="42"/>
      <c r="G5" s="43"/>
      <c r="H5" s="44"/>
      <c r="I5" s="45" t="s">
        <v>29</v>
      </c>
      <c r="J5" s="46" t="s">
        <v>38</v>
      </c>
      <c r="K5" s="46" t="s">
        <v>39</v>
      </c>
      <c r="L5" s="47" t="s">
        <v>6</v>
      </c>
      <c r="M5" s="48" t="s">
        <v>37</v>
      </c>
      <c r="N5" s="48" t="s">
        <v>40</v>
      </c>
      <c r="O5" s="48" t="s">
        <v>41</v>
      </c>
      <c r="P5" s="49" t="s">
        <v>11</v>
      </c>
      <c r="Q5" s="50" t="s">
        <v>20</v>
      </c>
      <c r="R5" s="50" t="s">
        <v>21</v>
      </c>
      <c r="S5" s="49" t="s">
        <v>12</v>
      </c>
      <c r="T5" s="50" t="s">
        <v>23</v>
      </c>
      <c r="U5" s="50" t="s">
        <v>22</v>
      </c>
      <c r="V5" s="49" t="s">
        <v>19</v>
      </c>
      <c r="W5" s="50" t="s">
        <v>18</v>
      </c>
      <c r="X5" s="50" t="s">
        <v>24</v>
      </c>
      <c r="Y5" s="49" t="s">
        <v>13</v>
      </c>
      <c r="Z5" s="50" t="s">
        <v>17</v>
      </c>
      <c r="AA5" s="50" t="s">
        <v>25</v>
      </c>
      <c r="AB5" s="49" t="s">
        <v>14</v>
      </c>
      <c r="AC5" s="50" t="s">
        <v>7</v>
      </c>
      <c r="AD5" s="50" t="s">
        <v>26</v>
      </c>
      <c r="AE5" s="49" t="s">
        <v>15</v>
      </c>
      <c r="AF5" s="50" t="s">
        <v>8</v>
      </c>
      <c r="AG5" s="50" t="s">
        <v>27</v>
      </c>
      <c r="AH5" s="49" t="s">
        <v>16</v>
      </c>
      <c r="AI5" s="50" t="s">
        <v>9</v>
      </c>
      <c r="AJ5" s="50" t="s">
        <v>28</v>
      </c>
      <c r="AK5" s="51" t="s">
        <v>10</v>
      </c>
      <c r="AL5" s="52" t="s">
        <v>5</v>
      </c>
      <c r="AM5" s="52" t="s">
        <v>2</v>
      </c>
      <c r="AN5" s="52" t="s">
        <v>1</v>
      </c>
      <c r="AO5" s="52" t="s">
        <v>3</v>
      </c>
      <c r="AP5" s="52" t="s">
        <v>30</v>
      </c>
      <c r="AQ5" s="52" t="s">
        <v>0</v>
      </c>
      <c r="AR5" s="52" t="s">
        <v>33</v>
      </c>
      <c r="AS5" s="52" t="s">
        <v>31</v>
      </c>
    </row>
    <row r="6" spans="1:45" s="53" customFormat="1" ht="56" hidden="1" customHeight="1" thickTop="1" thickBot="1">
      <c r="A6" s="1"/>
      <c r="B6" s="1"/>
      <c r="C6" s="1"/>
      <c r="D6" s="1"/>
      <c r="E6" s="1"/>
      <c r="F6" s="1"/>
      <c r="G6" s="54"/>
      <c r="H6" s="55" t="s">
        <v>45</v>
      </c>
      <c r="I6" s="56" t="e">
        <f t="shared" ref="I6:AQ6" si="11">SUM(I3:I3)</f>
        <v>#VALUE!</v>
      </c>
      <c r="J6" s="56" t="e">
        <f t="shared" si="11"/>
        <v>#VALUE!</v>
      </c>
      <c r="K6" s="56" t="e">
        <f t="shared" si="11"/>
        <v>#VALUE!</v>
      </c>
      <c r="L6" s="56" t="e">
        <f t="shared" si="11"/>
        <v>#VALUE!</v>
      </c>
      <c r="M6" s="56" t="e">
        <f t="shared" si="11"/>
        <v>#VALUE!</v>
      </c>
      <c r="N6" s="56" t="e">
        <f t="shared" si="11"/>
        <v>#VALUE!</v>
      </c>
      <c r="O6" s="56" t="e">
        <f t="shared" si="11"/>
        <v>#VALUE!</v>
      </c>
      <c r="P6" s="56" t="e">
        <f t="shared" si="11"/>
        <v>#VALUE!</v>
      </c>
      <c r="Q6" s="56" t="e">
        <f t="shared" si="11"/>
        <v>#VALUE!</v>
      </c>
      <c r="R6" s="56" t="e">
        <f t="shared" si="11"/>
        <v>#VALUE!</v>
      </c>
      <c r="S6" s="56" t="e">
        <f t="shared" si="11"/>
        <v>#VALUE!</v>
      </c>
      <c r="T6" s="56" t="e">
        <f t="shared" si="11"/>
        <v>#VALUE!</v>
      </c>
      <c r="U6" s="56" t="e">
        <f t="shared" si="11"/>
        <v>#VALUE!</v>
      </c>
      <c r="V6" s="56" t="e">
        <f t="shared" si="11"/>
        <v>#VALUE!</v>
      </c>
      <c r="W6" s="56" t="e">
        <f t="shared" si="11"/>
        <v>#VALUE!</v>
      </c>
      <c r="X6" s="56" t="e">
        <f t="shared" si="11"/>
        <v>#VALUE!</v>
      </c>
      <c r="Y6" s="56" t="e">
        <f t="shared" si="11"/>
        <v>#VALUE!</v>
      </c>
      <c r="Z6" s="56" t="e">
        <f t="shared" si="11"/>
        <v>#VALUE!</v>
      </c>
      <c r="AA6" s="56" t="e">
        <f t="shared" si="11"/>
        <v>#VALUE!</v>
      </c>
      <c r="AB6" s="56" t="e">
        <f t="shared" si="11"/>
        <v>#VALUE!</v>
      </c>
      <c r="AC6" s="56" t="e">
        <f t="shared" si="11"/>
        <v>#VALUE!</v>
      </c>
      <c r="AD6" s="56" t="e">
        <f t="shared" si="11"/>
        <v>#VALUE!</v>
      </c>
      <c r="AE6" s="56" t="e">
        <f t="shared" si="11"/>
        <v>#VALUE!</v>
      </c>
      <c r="AF6" s="56" t="e">
        <f t="shared" si="11"/>
        <v>#VALUE!</v>
      </c>
      <c r="AG6" s="56" t="e">
        <f t="shared" si="11"/>
        <v>#VALUE!</v>
      </c>
      <c r="AH6" s="56" t="e">
        <f t="shared" si="11"/>
        <v>#VALUE!</v>
      </c>
      <c r="AI6" s="56" t="e">
        <f t="shared" si="11"/>
        <v>#VALUE!</v>
      </c>
      <c r="AJ6" s="56" t="e">
        <f t="shared" si="11"/>
        <v>#VALUE!</v>
      </c>
      <c r="AK6" s="57" t="e">
        <f t="shared" si="11"/>
        <v>#VALUE!</v>
      </c>
      <c r="AL6" s="58" t="e">
        <f t="shared" si="11"/>
        <v>#VALUE!</v>
      </c>
      <c r="AM6" s="58" t="e">
        <f t="shared" si="11"/>
        <v>#VALUE!</v>
      </c>
      <c r="AN6" s="58" t="e">
        <f t="shared" si="11"/>
        <v>#VALUE!</v>
      </c>
      <c r="AO6" s="58" t="e">
        <f t="shared" si="11"/>
        <v>#VALUE!</v>
      </c>
      <c r="AP6" s="58" t="e">
        <f t="shared" si="11"/>
        <v>#VALUE!</v>
      </c>
      <c r="AQ6" s="58" t="e">
        <f t="shared" si="11"/>
        <v>#VALUE!</v>
      </c>
      <c r="AR6" s="59" t="e">
        <f>AK6-AO6</f>
        <v>#VALUE!</v>
      </c>
      <c r="AS6" s="60" t="s">
        <v>32</v>
      </c>
    </row>
    <row r="7" spans="1:45" s="15" customFormat="1" ht="28">
      <c r="B7" s="61" t="s">
        <v>43</v>
      </c>
      <c r="C7" s="62" t="str">
        <f>H3</f>
        <v>your numbers</v>
      </c>
      <c r="D7" s="12" t="s">
        <v>44</v>
      </c>
      <c r="E7" s="63" t="e">
        <f>AK6</f>
        <v>#VALUE!</v>
      </c>
    </row>
    <row r="8" spans="1:45" s="15" customFormat="1"/>
    <row r="9" spans="1:45" s="15" customFormat="1">
      <c r="B9" s="15" t="s">
        <v>42</v>
      </c>
      <c r="C9" s="15" t="s">
        <v>47</v>
      </c>
      <c r="J9" s="64" t="s">
        <v>59</v>
      </c>
    </row>
    <row r="10" spans="1:45" s="15" customFormat="1" ht="28">
      <c r="B10" s="62" t="e">
        <f>AD6</f>
        <v>#VALUE!</v>
      </c>
      <c r="C10" s="65" t="s">
        <v>69</v>
      </c>
      <c r="J10" s="15" t="s">
        <v>48</v>
      </c>
      <c r="K10" s="15" t="s">
        <v>49</v>
      </c>
      <c r="N10" s="15" t="s">
        <v>50</v>
      </c>
      <c r="O10" s="15" t="s">
        <v>60</v>
      </c>
      <c r="P10" s="13" t="s">
        <v>61</v>
      </c>
      <c r="Q10" s="14" t="s">
        <v>62</v>
      </c>
      <c r="R10" s="15" t="s">
        <v>51</v>
      </c>
      <c r="S10" s="14" t="s">
        <v>63</v>
      </c>
    </row>
    <row r="11" spans="1:45" s="15" customFormat="1">
      <c r="B11" s="62" t="e">
        <f>J6</f>
        <v>#VALUE!</v>
      </c>
      <c r="C11" s="66" t="s">
        <v>70</v>
      </c>
      <c r="J11" s="67" t="e">
        <f>C7/20</f>
        <v>#VALUE!</v>
      </c>
      <c r="K11" s="15" t="s">
        <v>52</v>
      </c>
      <c r="N11" s="68">
        <v>310</v>
      </c>
      <c r="O11" s="69" t="e">
        <f>N11*J11</f>
        <v>#VALUE!</v>
      </c>
      <c r="P11" s="68">
        <v>750</v>
      </c>
      <c r="Q11" s="68" t="e">
        <f>P11*J11</f>
        <v>#VALUE!</v>
      </c>
    </row>
    <row r="12" spans="1:45" s="15" customFormat="1">
      <c r="B12" s="62" t="e">
        <f>K6</f>
        <v>#VALUE!</v>
      </c>
      <c r="C12" s="66" t="s">
        <v>71</v>
      </c>
      <c r="J12" s="67" t="e">
        <f>J11</f>
        <v>#VALUE!</v>
      </c>
      <c r="K12" s="15" t="s">
        <v>58</v>
      </c>
      <c r="N12" s="68">
        <v>400</v>
      </c>
      <c r="O12" s="69" t="e">
        <f>N12*J12</f>
        <v>#VALUE!</v>
      </c>
      <c r="P12" s="69">
        <v>500</v>
      </c>
      <c r="Q12" s="68" t="e">
        <f t="shared" ref="Q12:Q13" si="12">P12*J12</f>
        <v>#VALUE!</v>
      </c>
    </row>
    <row r="13" spans="1:45" s="15" customFormat="1">
      <c r="B13" s="62" t="e">
        <f>N6</f>
        <v>#VALUE!</v>
      </c>
      <c r="C13" s="66" t="s">
        <v>72</v>
      </c>
      <c r="J13" s="67">
        <v>0</v>
      </c>
      <c r="K13" s="15" t="s">
        <v>56</v>
      </c>
      <c r="N13" s="68">
        <v>2500</v>
      </c>
      <c r="O13" s="68">
        <f>N13*J13</f>
        <v>0</v>
      </c>
      <c r="P13" s="69">
        <v>15000</v>
      </c>
      <c r="Q13" s="68">
        <f t="shared" si="12"/>
        <v>0</v>
      </c>
    </row>
    <row r="14" spans="1:45" s="15" customFormat="1">
      <c r="B14" s="62" t="e">
        <f>O6</f>
        <v>#VALUE!</v>
      </c>
      <c r="C14" s="66" t="s">
        <v>73</v>
      </c>
      <c r="O14" s="69" t="e">
        <f>SUM(O11:O13)</f>
        <v>#VALUE!</v>
      </c>
      <c r="Q14" s="70" t="e">
        <f>SUM(Q11:Q13)</f>
        <v>#VALUE!</v>
      </c>
      <c r="R14" s="69" t="e">
        <f>O14+Q14</f>
        <v>#VALUE!</v>
      </c>
      <c r="S14" s="69" t="e">
        <f>R14/H3</f>
        <v>#VALUE!</v>
      </c>
    </row>
    <row r="15" spans="1:45" s="15" customFormat="1">
      <c r="B15" s="62" t="e">
        <f>R6</f>
        <v>#VALUE!</v>
      </c>
      <c r="C15" s="66" t="s">
        <v>67</v>
      </c>
    </row>
    <row r="16" spans="1:45" s="15" customFormat="1">
      <c r="B16" s="62" t="e">
        <f>U6</f>
        <v>#VALUE!</v>
      </c>
      <c r="C16" s="66" t="s">
        <v>74</v>
      </c>
      <c r="J16" s="15" t="s">
        <v>54</v>
      </c>
      <c r="M16" s="67" t="e">
        <f>J12/20</f>
        <v>#VALUE!</v>
      </c>
    </row>
    <row r="17" spans="2:16" s="15" customFormat="1">
      <c r="B17" s="62" t="e">
        <f>X6</f>
        <v>#VALUE!</v>
      </c>
      <c r="C17" s="66" t="s">
        <v>75</v>
      </c>
      <c r="J17" s="15" t="s">
        <v>55</v>
      </c>
      <c r="M17" s="69" t="e">
        <f>O12/M16</f>
        <v>#VALUE!</v>
      </c>
    </row>
    <row r="18" spans="2:16" s="15" customFormat="1">
      <c r="B18" s="62" t="e">
        <f>AA6</f>
        <v>#VALUE!</v>
      </c>
      <c r="C18" s="66" t="s">
        <v>76</v>
      </c>
      <c r="J18" s="15" t="s">
        <v>57</v>
      </c>
      <c r="M18" s="69" t="e">
        <f>O14/J12</f>
        <v>#VALUE!</v>
      </c>
    </row>
    <row r="19" spans="2:16" s="15" customFormat="1">
      <c r="B19" s="62" t="e">
        <f>AG6</f>
        <v>#VALUE!</v>
      </c>
      <c r="C19" s="66" t="s">
        <v>77</v>
      </c>
    </row>
    <row r="20" spans="2:16" s="15" customFormat="1">
      <c r="B20" s="62" t="e">
        <f>AJ6</f>
        <v>#VALUE!</v>
      </c>
      <c r="C20" s="71" t="s">
        <v>78</v>
      </c>
      <c r="J20" s="15" t="s">
        <v>53</v>
      </c>
      <c r="L20" s="72" t="e">
        <f>E7/O14</f>
        <v>#VALUE!</v>
      </c>
    </row>
    <row r="21" spans="2:16" s="15" customFormat="1"/>
    <row r="22" spans="2:16" s="15" customFormat="1"/>
    <row r="23" spans="2:16" s="10" customFormat="1" ht="56">
      <c r="O23" s="18" t="s">
        <v>64</v>
      </c>
      <c r="P23" s="17" t="e">
        <f>O14</f>
        <v>#VALUE!</v>
      </c>
    </row>
    <row r="24" spans="2:16" s="10" customFormat="1" ht="56">
      <c r="O24" s="18" t="s">
        <v>65</v>
      </c>
      <c r="P24" s="16" t="e">
        <f>Q14</f>
        <v>#VALUE!</v>
      </c>
    </row>
    <row r="25" spans="2:16" s="10" customFormat="1" ht="42">
      <c r="O25" s="18" t="s">
        <v>66</v>
      </c>
      <c r="P25" s="17" t="e">
        <f>P23+P24</f>
        <v>#VALUE!</v>
      </c>
    </row>
    <row r="26" spans="2:16" s="10" customFormat="1"/>
    <row r="27" spans="2:16" s="10" customFormat="1"/>
    <row r="28" spans="2:16" s="10" customFormat="1"/>
    <row r="29" spans="2:16" s="10" customFormat="1"/>
    <row r="30" spans="2:16" s="10" customFormat="1"/>
    <row r="31" spans="2:16" s="10" customFormat="1"/>
  </sheetData>
  <sheetProtection password="C38D" sheet="1" objects="1" scenarios="1" selectLockedCells="1" selectUnlockedCells="1"/>
  <mergeCells count="2">
    <mergeCell ref="A1:H1"/>
    <mergeCell ref="B3:G3"/>
  </mergeCells>
  <phoneticPr fontId="5"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Impact</vt:lpstr>
      <vt:lpstr>data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Kitty2</dc:creator>
  <cp:lastModifiedBy>Dennis Embry</cp:lastModifiedBy>
  <cp:lastPrinted>2015-09-25T00:55:04Z</cp:lastPrinted>
  <dcterms:created xsi:type="dcterms:W3CDTF">2012-10-20T16:22:56Z</dcterms:created>
  <dcterms:modified xsi:type="dcterms:W3CDTF">2015-11-18T18:54:57Z</dcterms:modified>
</cp:coreProperties>
</file>